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Public\Downloads\New HHW Data\"/>
    </mc:Choice>
  </mc:AlternateContent>
  <bookViews>
    <workbookView xWindow="0" yWindow="0" windowWidth="15555" windowHeight="11220"/>
  </bookViews>
  <sheets>
    <sheet name="SRF2" sheetId="2" r:id="rId1"/>
    <sheet name="SRF1" sheetId="1" r:id="rId2"/>
    <sheet name="sea weeds" sheetId="5" r:id="rId3"/>
    <sheet name="animals" sheetId="6" r:id="rId4"/>
    <sheet name="chloro a" sheetId="4" r:id="rId5"/>
    <sheet name="DRP" sheetId="3" r:id="rId6"/>
    <sheet name="NO2 &amp; NO3" sheetId="7" r:id="rId7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4" i="2" l="1"/>
  <c r="H11" i="2"/>
  <c r="D13" i="2"/>
  <c r="H10" i="2"/>
  <c r="G11" i="2"/>
  <c r="G10" i="2"/>
  <c r="D11" i="2"/>
  <c r="D10" i="2"/>
  <c r="H7" i="2"/>
  <c r="H6" i="2"/>
  <c r="H5" i="2"/>
  <c r="H4" i="2"/>
  <c r="H3" i="2"/>
  <c r="H2" i="2"/>
  <c r="D7" i="2"/>
  <c r="D6" i="2"/>
  <c r="D5" i="2"/>
  <c r="D4" i="2"/>
  <c r="D3" i="2"/>
  <c r="D2" i="2"/>
  <c r="G8" i="4"/>
  <c r="H8" i="4"/>
  <c r="I8" i="4"/>
  <c r="J8" i="4"/>
  <c r="L8" i="4"/>
  <c r="H5" i="4"/>
  <c r="D15" i="3"/>
  <c r="D3" i="3"/>
  <c r="C19" i="3"/>
  <c r="D4" i="3"/>
  <c r="C20" i="3"/>
  <c r="D5" i="3"/>
  <c r="C21" i="3"/>
  <c r="C22" i="3"/>
  <c r="E15" i="3"/>
  <c r="D14" i="3"/>
  <c r="E14" i="3"/>
  <c r="D13" i="3"/>
  <c r="E13" i="3"/>
  <c r="D12" i="3"/>
  <c r="E12" i="3"/>
  <c r="D11" i="3"/>
  <c r="E11" i="3"/>
  <c r="D10" i="3"/>
  <c r="E10" i="3"/>
  <c r="D9" i="3"/>
  <c r="E9" i="3"/>
  <c r="D8" i="3"/>
  <c r="E8" i="3"/>
  <c r="D7" i="3"/>
  <c r="E7" i="3"/>
  <c r="D6" i="3"/>
  <c r="E6" i="3"/>
  <c r="E5" i="3"/>
  <c r="E4" i="3"/>
  <c r="E3" i="3"/>
  <c r="G11" i="4"/>
  <c r="H11" i="4"/>
  <c r="I11" i="4"/>
  <c r="J11" i="4"/>
  <c r="L11" i="4"/>
  <c r="G12" i="4"/>
  <c r="H12" i="4"/>
  <c r="I12" i="4"/>
  <c r="J12" i="4"/>
  <c r="L12" i="4"/>
  <c r="E17" i="7"/>
  <c r="E1" i="7"/>
  <c r="F16" i="7"/>
  <c r="E15" i="7"/>
  <c r="F15" i="7"/>
  <c r="E14" i="7"/>
  <c r="F14" i="7"/>
  <c r="E12" i="7"/>
  <c r="F12" i="7"/>
  <c r="E13" i="7"/>
  <c r="F13" i="7"/>
  <c r="H2" i="7"/>
  <c r="H1" i="7"/>
  <c r="E2" i="7"/>
  <c r="E9" i="7"/>
  <c r="E19" i="7"/>
  <c r="G13" i="4"/>
  <c r="H13" i="4"/>
  <c r="I13" i="4"/>
  <c r="J13" i="4"/>
  <c r="L13" i="4"/>
  <c r="G14" i="4"/>
  <c r="H14" i="4"/>
  <c r="I14" i="4"/>
  <c r="J14" i="4"/>
  <c r="L14" i="4"/>
  <c r="G9" i="4"/>
  <c r="H9" i="4"/>
  <c r="I9" i="4"/>
  <c r="J9" i="4"/>
  <c r="L9" i="4"/>
  <c r="G10" i="4"/>
  <c r="H10" i="4"/>
  <c r="I10" i="4"/>
  <c r="J10" i="4"/>
  <c r="L10" i="4"/>
  <c r="G3" i="4"/>
  <c r="H3" i="4"/>
  <c r="I3" i="4"/>
  <c r="J3" i="4"/>
  <c r="E28" i="7"/>
  <c r="F28" i="7"/>
  <c r="E27" i="7"/>
  <c r="F27" i="7"/>
  <c r="E26" i="7"/>
  <c r="F26" i="7"/>
  <c r="E25" i="7"/>
  <c r="F25" i="7"/>
  <c r="E24" i="7"/>
  <c r="F24" i="7"/>
  <c r="E23" i="7"/>
  <c r="F23" i="7"/>
  <c r="D2" i="3"/>
  <c r="E2" i="3"/>
  <c r="G15" i="4"/>
  <c r="H15" i="4"/>
  <c r="I15" i="4"/>
  <c r="J15" i="4"/>
  <c r="L15" i="4"/>
  <c r="G16" i="4"/>
  <c r="H16" i="4"/>
  <c r="I16" i="4"/>
  <c r="J16" i="4"/>
  <c r="L16" i="4"/>
  <c r="G6" i="4"/>
  <c r="H6" i="4"/>
  <c r="I6" i="4"/>
  <c r="J6" i="4"/>
  <c r="L6" i="4"/>
  <c r="G7" i="4"/>
  <c r="H7" i="4"/>
  <c r="I7" i="4"/>
  <c r="J7" i="4"/>
  <c r="L7" i="4"/>
  <c r="G4" i="4"/>
  <c r="H4" i="4"/>
  <c r="I4" i="4"/>
  <c r="J4" i="4"/>
  <c r="L4" i="4"/>
  <c r="G5" i="4"/>
  <c r="I5" i="4"/>
  <c r="J5" i="4"/>
  <c r="L5" i="4"/>
  <c r="E22" i="7"/>
  <c r="F22" i="7"/>
  <c r="E20" i="7"/>
  <c r="F20" i="7"/>
  <c r="E11" i="7"/>
  <c r="F11" i="7"/>
  <c r="E21" i="7"/>
  <c r="E10" i="7"/>
  <c r="E8" i="7"/>
</calcChain>
</file>

<file path=xl/sharedStrings.xml><?xml version="1.0" encoding="utf-8"?>
<sst xmlns="http://schemas.openxmlformats.org/spreadsheetml/2006/main" count="203" uniqueCount="152">
  <si>
    <t>Site</t>
  </si>
  <si>
    <t>#81and 2</t>
  </si>
  <si>
    <t>#82</t>
  </si>
  <si>
    <t>#83</t>
  </si>
  <si>
    <t>#84</t>
  </si>
  <si>
    <t>#85</t>
  </si>
  <si>
    <t>#86</t>
  </si>
  <si>
    <t>#87</t>
  </si>
  <si>
    <t>#88</t>
  </si>
  <si>
    <t>#89</t>
  </si>
  <si>
    <t>#810</t>
  </si>
  <si>
    <t>temp</t>
  </si>
  <si>
    <t>sal</t>
  </si>
  <si>
    <t>DO mg/L</t>
  </si>
  <si>
    <t>DO %</t>
  </si>
  <si>
    <t>pH</t>
  </si>
  <si>
    <t>turb</t>
  </si>
  <si>
    <t>_</t>
  </si>
  <si>
    <t>YSI 85</t>
  </si>
  <si>
    <t>pro2030</t>
  </si>
  <si>
    <t>sal adj</t>
  </si>
  <si>
    <t>chloro a</t>
  </si>
  <si>
    <t>NNN</t>
  </si>
  <si>
    <t>DRP</t>
  </si>
  <si>
    <t>enterococci</t>
  </si>
  <si>
    <t>Eb</t>
  </si>
  <si>
    <t>Es</t>
  </si>
  <si>
    <t>Ecorr</t>
  </si>
  <si>
    <t>blank</t>
  </si>
  <si>
    <t>St1</t>
  </si>
  <si>
    <t>St2</t>
  </si>
  <si>
    <t>dw</t>
  </si>
  <si>
    <t>F</t>
  </si>
  <si>
    <t>site</t>
  </si>
  <si>
    <t>E750</t>
  </si>
  <si>
    <t>E664</t>
  </si>
  <si>
    <t>E647</t>
  </si>
  <si>
    <t>E630</t>
  </si>
  <si>
    <t>Ecprr</t>
  </si>
  <si>
    <t>Ca</t>
  </si>
  <si>
    <t>[chloroa]</t>
  </si>
  <si>
    <t>weather</t>
  </si>
  <si>
    <t>tide and time</t>
  </si>
  <si>
    <t>unusual</t>
  </si>
  <si>
    <t>cond adj</t>
  </si>
  <si>
    <t>Site1/2</t>
  </si>
  <si>
    <t>Site 3</t>
  </si>
  <si>
    <t>Site 4</t>
  </si>
  <si>
    <t>site 3</t>
  </si>
  <si>
    <t>sea tulips</t>
  </si>
  <si>
    <t xml:space="preserve">site5 </t>
  </si>
  <si>
    <t>Site 5</t>
  </si>
  <si>
    <t>Site 6</t>
  </si>
  <si>
    <t>site 6</t>
  </si>
  <si>
    <t xml:space="preserve">Site 7 </t>
  </si>
  <si>
    <t xml:space="preserve">site 8 </t>
  </si>
  <si>
    <t xml:space="preserve">site 10 </t>
  </si>
  <si>
    <t>Site 1/2</t>
  </si>
  <si>
    <t>shags</t>
  </si>
  <si>
    <t>surface</t>
  </si>
  <si>
    <t>HHW nitrates</t>
  </si>
  <si>
    <t>Coln A</t>
  </si>
  <si>
    <t>Coln B</t>
  </si>
  <si>
    <t>Sample</t>
  </si>
  <si>
    <t>Comments</t>
  </si>
  <si>
    <t>Abs</t>
  </si>
  <si>
    <t>DW Blk</t>
  </si>
  <si>
    <t>SW blk</t>
  </si>
  <si>
    <t>DW Std</t>
  </si>
  <si>
    <t>SW Std</t>
  </si>
  <si>
    <t>5.46 uM NO3</t>
  </si>
  <si>
    <t>2A</t>
  </si>
  <si>
    <t>1B</t>
  </si>
  <si>
    <t>4B</t>
  </si>
  <si>
    <t>5B</t>
  </si>
  <si>
    <t>7B</t>
  </si>
  <si>
    <t>Abs-blk</t>
  </si>
  <si>
    <t>Coln A SW</t>
  </si>
  <si>
    <t>Coln B SW</t>
  </si>
  <si>
    <t>Coln A DW</t>
  </si>
  <si>
    <t>Using f from yesterday as colns not fully flushed with dilute NH4Cl</t>
  </si>
  <si>
    <t>[NO3] uM</t>
  </si>
  <si>
    <t>Final</t>
  </si>
  <si>
    <t>Vol(L)</t>
  </si>
  <si>
    <t xml:space="preserve">_ </t>
  </si>
  <si>
    <t>no data pt</t>
  </si>
  <si>
    <t>BDL</t>
  </si>
  <si>
    <t>geese</t>
  </si>
  <si>
    <t>seagulls</t>
  </si>
  <si>
    <t>dogs</t>
  </si>
  <si>
    <t>St3</t>
  </si>
  <si>
    <t>"</t>
  </si>
  <si>
    <t xml:space="preserve">Site 8 </t>
  </si>
  <si>
    <t>mollymawks</t>
  </si>
  <si>
    <t>red billed gulls</t>
  </si>
  <si>
    <t>spec cond</t>
  </si>
  <si>
    <t>act cond</t>
  </si>
  <si>
    <t>3B</t>
  </si>
  <si>
    <t>10B</t>
  </si>
  <si>
    <t xml:space="preserve">blank </t>
  </si>
  <si>
    <t>DATE</t>
  </si>
  <si>
    <t>HHW</t>
  </si>
  <si>
    <t>µg/L</t>
  </si>
  <si>
    <t>1046, high tide</t>
  </si>
  <si>
    <t>1025, very low tide</t>
  </si>
  <si>
    <t>0943, low</t>
  </si>
  <si>
    <t>0956, "</t>
  </si>
  <si>
    <t>Coln B DW</t>
  </si>
  <si>
    <t>3A</t>
  </si>
  <si>
    <t>5A</t>
  </si>
  <si>
    <t>4A</t>
  </si>
  <si>
    <t>87A</t>
  </si>
  <si>
    <t>88A</t>
  </si>
  <si>
    <t>1out 10</t>
  </si>
  <si>
    <t>200+</t>
  </si>
  <si>
    <t>0944 ? High tide</t>
  </si>
  <si>
    <t>4oC, cold day, ccv 98%</t>
  </si>
  <si>
    <t>4oC, cold day, ccv 100%, slight breeze</t>
  </si>
  <si>
    <t>Sea lettuce</t>
  </si>
  <si>
    <t>bladder kelp</t>
  </si>
  <si>
    <t>ripples, small waves, choppy</t>
  </si>
  <si>
    <t>colour</t>
  </si>
  <si>
    <t>clear water</t>
  </si>
  <si>
    <t xml:space="preserve">1008, High tide, </t>
  </si>
  <si>
    <t>Small ripples</t>
  </si>
  <si>
    <t>Blue/green</t>
  </si>
  <si>
    <t>4oC,cold breeze,96% ccv,</t>
  </si>
  <si>
    <t>foam on water, fog/rain</t>
  </si>
  <si>
    <t>very ripply</t>
  </si>
  <si>
    <t>Murky brown/green</t>
  </si>
  <si>
    <t>1021, high tide</t>
  </si>
  <si>
    <t>NOTE: Flooding tide, LW at Dunedin 0700, so tide was flooding, close to mid tide/higher.</t>
  </si>
  <si>
    <t>temp5.4oC,SE breeze,90% ccv,</t>
  </si>
  <si>
    <t>lottle bit discoloured</t>
  </si>
  <si>
    <t>No smell or rubbish</t>
  </si>
  <si>
    <t>clear</t>
  </si>
  <si>
    <t>5.9oC, SE, 90% ccv,</t>
  </si>
  <si>
    <t>cold, SW wind up to 15 knots, 90% ccv</t>
  </si>
  <si>
    <t>1130, mid tide, flooding</t>
  </si>
  <si>
    <t xml:space="preserve">12.00, mid tide, </t>
  </si>
  <si>
    <t>water flowing out of the Leith, despite flooding tide</t>
  </si>
  <si>
    <t>35.3, measured at 50 cmc depth, freshwater flowing on surface</t>
  </si>
  <si>
    <t>unfiltered</t>
  </si>
  <si>
    <t>standard</t>
  </si>
  <si>
    <t>Sp cond adj</t>
  </si>
  <si>
    <t>Strong wind from the North East</t>
  </si>
  <si>
    <t>Some ducks</t>
  </si>
  <si>
    <t>Weird smell - like something was decaying</t>
  </si>
  <si>
    <t>Choppy with bubbles</t>
  </si>
  <si>
    <t xml:space="preserve">Ripples, the water was flowing </t>
  </si>
  <si>
    <t>Opaque green</t>
  </si>
  <si>
    <t>Murky green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</si>
</sst>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  <font>
      <b/>
      <sz val="11"/>
      <color rgb="FFFF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/>
    <xf numFmtId="2" fontId="1" fillId="0" borderId="0" xfId="0" applyNumberFormat="1" applyFont="1"/>
    <xf numFmtId="2" fontId="0" fillId="0" borderId="0" xfId="0" applyNumberFormat="1"/>
    <xf numFmtId="15" fontId="0" fillId="0" borderId="0" xfId="0" applyNumberFormat="1"/>
    <xf numFmtId="0" fontId="5" fillId="0" borderId="0" xfId="0" applyFont="1"/>
    <xf numFmtId="164" fontId="0" fillId="0" borderId="0" xfId="0" applyNumberFormat="1"/>
    <xf numFmtId="0" fontId="6" fillId="0" borderId="0" xfId="0" applyFont="1"/>
    <xf numFmtId="0" fontId="7" fillId="0" borderId="0" xfId="0" applyFont="1"/>
    <xf numFmtId="2" fontId="6" fillId="0" borderId="0" xfId="0" applyNumberFormat="1" applyFont="1"/>
    <xf numFmtId="0" fontId="0" fillId="0" borderId="0" xfId="0" applyFont="1"/>
    <xf numFmtId="2" fontId="0" fillId="0" borderId="0" xfId="0" applyNumberFormat="1" applyFont="1"/>
    <xf numFmtId="2" fontId="5" fillId="0" borderId="0" xfId="0" applyNumberFormat="1" applyFont="1"/>
    <xf numFmtId="0" fontId="9" fillId="0" borderId="0" xfId="0" applyFont="1"/>
  </cellXfs>
  <cellStyles count="2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abSelected="1" topLeftCell="C1" workbookViewId="0">
      <selection activeCell="Q10" sqref="Q10"/>
    </sheetView>
  </sheetViews>
  <sheetFormatPr defaultColWidth="8.85546875" defaultRowHeight="15" x14ac:dyDescent="0.25"/>
  <cols>
    <col min="6" max="6" width="12.42578125" customWidth="1"/>
  </cols>
  <sheetData>
    <row r="1" spans="1:16" x14ac:dyDescent="0.25">
      <c r="A1" t="s">
        <v>0</v>
      </c>
      <c r="B1" s="13" t="s">
        <v>11</v>
      </c>
      <c r="C1" s="13" t="s">
        <v>12</v>
      </c>
      <c r="D1" s="13" t="s">
        <v>20</v>
      </c>
      <c r="E1" s="13" t="s">
        <v>96</v>
      </c>
      <c r="F1" s="13" t="s">
        <v>95</v>
      </c>
      <c r="G1" s="13" t="s">
        <v>44</v>
      </c>
      <c r="H1" s="13" t="s">
        <v>144</v>
      </c>
      <c r="I1" s="13" t="s">
        <v>13</v>
      </c>
      <c r="J1" s="13" t="s">
        <v>14</v>
      </c>
      <c r="K1" s="13" t="s">
        <v>15</v>
      </c>
      <c r="L1" s="13" t="s">
        <v>16</v>
      </c>
      <c r="M1" s="13" t="s">
        <v>21</v>
      </c>
      <c r="N1" s="13" t="s">
        <v>22</v>
      </c>
      <c r="O1" s="13" t="s">
        <v>23</v>
      </c>
      <c r="P1" s="13" t="s">
        <v>24</v>
      </c>
    </row>
    <row r="2" spans="1:16" x14ac:dyDescent="0.25">
      <c r="A2" t="s">
        <v>1</v>
      </c>
      <c r="B2">
        <v>9.4</v>
      </c>
      <c r="C2">
        <v>36.6</v>
      </c>
      <c r="D2" s="2">
        <f>C2*$D$14</f>
        <v>34.422402234636877</v>
      </c>
      <c r="F2">
        <v>55.7</v>
      </c>
      <c r="G2" s="3" t="s">
        <v>17</v>
      </c>
      <c r="H2" s="3">
        <f>F2*$D$14</f>
        <v>52.386005586592191</v>
      </c>
      <c r="I2">
        <v>9.36</v>
      </c>
      <c r="J2">
        <v>103.9</v>
      </c>
      <c r="K2">
        <v>8.2899999999999991</v>
      </c>
      <c r="L2">
        <v>1.89</v>
      </c>
      <c r="M2">
        <v>1.39</v>
      </c>
      <c r="N2" s="3">
        <v>0.51</v>
      </c>
      <c r="O2" s="3">
        <v>0.18340361425404922</v>
      </c>
      <c r="P2" s="3">
        <v>0</v>
      </c>
    </row>
    <row r="3" spans="1:16" x14ac:dyDescent="0.25">
      <c r="A3" t="s">
        <v>2</v>
      </c>
      <c r="D3" s="2">
        <f t="shared" ref="D3:D7" si="0">C3*$D$14</f>
        <v>0</v>
      </c>
      <c r="F3">
        <v>55.7</v>
      </c>
      <c r="G3" s="3" t="s">
        <v>17</v>
      </c>
      <c r="H3" s="3">
        <f t="shared" ref="H3:H7" si="1">F3*$D$14</f>
        <v>52.386005586592191</v>
      </c>
      <c r="K3">
        <v>8.31</v>
      </c>
      <c r="L3">
        <v>1.54</v>
      </c>
      <c r="M3" s="3">
        <v>0.49</v>
      </c>
      <c r="N3" s="3">
        <v>0.54</v>
      </c>
      <c r="O3" s="3">
        <v>0.19486634014492726</v>
      </c>
      <c r="P3" s="3">
        <v>3</v>
      </c>
    </row>
    <row r="4" spans="1:16" x14ac:dyDescent="0.25">
      <c r="A4" t="s">
        <v>3</v>
      </c>
      <c r="B4">
        <v>9.8000000000000007</v>
      </c>
      <c r="C4">
        <v>36.4</v>
      </c>
      <c r="D4" s="2">
        <f t="shared" si="0"/>
        <v>34.234301675977655</v>
      </c>
      <c r="F4">
        <v>55.3</v>
      </c>
      <c r="G4" s="3" t="s">
        <v>17</v>
      </c>
      <c r="H4" s="3">
        <f t="shared" si="1"/>
        <v>52.009804469273746</v>
      </c>
      <c r="I4">
        <v>9.16</v>
      </c>
      <c r="J4">
        <v>101.8</v>
      </c>
      <c r="K4">
        <v>8.3000000000000007</v>
      </c>
      <c r="L4">
        <v>1.89</v>
      </c>
      <c r="M4" s="3">
        <v>0.83</v>
      </c>
      <c r="N4" s="3">
        <v>0.23</v>
      </c>
      <c r="O4" s="3">
        <v>0.21206042898124439</v>
      </c>
      <c r="P4" s="3">
        <v>3</v>
      </c>
    </row>
    <row r="5" spans="1:16" x14ac:dyDescent="0.25">
      <c r="A5" t="s">
        <v>4</v>
      </c>
      <c r="B5">
        <v>7.6</v>
      </c>
      <c r="C5">
        <v>31.5</v>
      </c>
      <c r="D5" s="2">
        <f t="shared" si="0"/>
        <v>29.62583798882682</v>
      </c>
      <c r="F5">
        <v>48.3</v>
      </c>
      <c r="G5" s="3" t="s">
        <v>17</v>
      </c>
      <c r="H5" s="3">
        <f t="shared" si="1"/>
        <v>45.426284916201119</v>
      </c>
      <c r="I5">
        <v>9.2899999999999991</v>
      </c>
      <c r="J5">
        <v>95.1</v>
      </c>
      <c r="K5">
        <v>8.23</v>
      </c>
      <c r="L5">
        <v>7.18</v>
      </c>
      <c r="M5" s="3">
        <v>4.53</v>
      </c>
      <c r="N5" s="3">
        <v>9.32</v>
      </c>
      <c r="O5" s="3">
        <v>0.8367789900340995</v>
      </c>
      <c r="P5" s="3">
        <v>58</v>
      </c>
    </row>
    <row r="6" spans="1:16" x14ac:dyDescent="0.25">
      <c r="A6" t="s">
        <v>5</v>
      </c>
      <c r="B6">
        <v>9.8000000000000007</v>
      </c>
      <c r="C6">
        <v>35.6</v>
      </c>
      <c r="D6" s="2">
        <f t="shared" si="0"/>
        <v>33.481899441340786</v>
      </c>
      <c r="F6">
        <v>54.3</v>
      </c>
      <c r="G6" s="3" t="s">
        <v>17</v>
      </c>
      <c r="H6" s="3">
        <f t="shared" si="1"/>
        <v>51.069301675977663</v>
      </c>
      <c r="I6">
        <v>9.94</v>
      </c>
      <c r="J6">
        <v>110</v>
      </c>
      <c r="K6">
        <v>8.32</v>
      </c>
      <c r="L6">
        <v>1.44</v>
      </c>
      <c r="M6" s="3">
        <v>1.5</v>
      </c>
      <c r="N6" s="3">
        <v>0.57999999999999996</v>
      </c>
      <c r="O6" s="3">
        <v>0.452777672689684</v>
      </c>
      <c r="P6" s="3">
        <v>13</v>
      </c>
    </row>
    <row r="7" spans="1:16" x14ac:dyDescent="0.25">
      <c r="A7" t="s">
        <v>6</v>
      </c>
      <c r="B7">
        <v>10.1</v>
      </c>
      <c r="C7" s="7">
        <v>35.299999999999997</v>
      </c>
      <c r="D7" s="2">
        <f t="shared" si="0"/>
        <v>33.199748603351956</v>
      </c>
      <c r="F7">
        <v>54.8</v>
      </c>
      <c r="G7" s="3" t="s">
        <v>17</v>
      </c>
      <c r="H7" s="3">
        <f t="shared" si="1"/>
        <v>51.539553072625708</v>
      </c>
      <c r="I7">
        <v>9.4</v>
      </c>
      <c r="J7">
        <v>105</v>
      </c>
      <c r="K7">
        <v>8.31</v>
      </c>
      <c r="L7">
        <v>4.22</v>
      </c>
      <c r="M7" s="3">
        <v>2.66</v>
      </c>
      <c r="N7" s="3">
        <v>2.57</v>
      </c>
      <c r="O7" s="3">
        <v>0.22352315487212249</v>
      </c>
      <c r="P7" s="3">
        <v>53</v>
      </c>
    </row>
    <row r="8" spans="1:16" x14ac:dyDescent="0.25">
      <c r="A8" t="s">
        <v>7</v>
      </c>
      <c r="B8">
        <v>9.6999999999999993</v>
      </c>
      <c r="C8">
        <v>28.7</v>
      </c>
      <c r="D8" s="3">
        <v>27</v>
      </c>
      <c r="E8">
        <v>32.630000000000003</v>
      </c>
      <c r="F8">
        <v>46.11</v>
      </c>
      <c r="G8" s="3">
        <v>36.26</v>
      </c>
      <c r="H8" s="3">
        <v>43.37</v>
      </c>
      <c r="I8">
        <v>7.61</v>
      </c>
      <c r="J8">
        <v>81.7</v>
      </c>
      <c r="K8">
        <v>8.27</v>
      </c>
      <c r="L8">
        <v>3.43</v>
      </c>
      <c r="M8" s="3">
        <v>1.35</v>
      </c>
      <c r="N8" s="3">
        <v>1.23</v>
      </c>
      <c r="O8" s="3">
        <v>0.22925451781756148</v>
      </c>
      <c r="P8" s="3">
        <v>0</v>
      </c>
    </row>
    <row r="9" spans="1:16" x14ac:dyDescent="0.25">
      <c r="A9" t="s">
        <v>8</v>
      </c>
      <c r="B9">
        <v>6.9</v>
      </c>
      <c r="C9">
        <v>0.1</v>
      </c>
      <c r="D9" s="3">
        <v>0.1</v>
      </c>
      <c r="E9">
        <v>0.14399999999999999</v>
      </c>
      <c r="F9">
        <v>0.22</v>
      </c>
      <c r="G9" s="3">
        <v>0.16</v>
      </c>
      <c r="H9" s="3">
        <v>0.21</v>
      </c>
      <c r="I9">
        <v>9.58</v>
      </c>
      <c r="J9">
        <v>78.8</v>
      </c>
      <c r="K9" t="s">
        <v>17</v>
      </c>
      <c r="L9" t="s">
        <v>17</v>
      </c>
      <c r="M9" s="3">
        <v>7.33</v>
      </c>
      <c r="N9" s="9">
        <v>74.12</v>
      </c>
      <c r="O9" s="3">
        <v>1.0832275966879783</v>
      </c>
      <c r="P9" s="3">
        <v>600</v>
      </c>
    </row>
    <row r="10" spans="1:16" x14ac:dyDescent="0.25">
      <c r="A10" t="s">
        <v>9</v>
      </c>
      <c r="B10" s="10">
        <v>7.3</v>
      </c>
      <c r="C10" s="11">
        <v>0.1</v>
      </c>
      <c r="D10" s="11">
        <f>C10*D13</f>
        <v>0.11112211221122113</v>
      </c>
      <c r="E10" s="10">
        <v>0.18</v>
      </c>
      <c r="F10" s="10">
        <v>0.27400000000000002</v>
      </c>
      <c r="G10" s="11">
        <f>E10*D13</f>
        <v>0.200019801980198</v>
      </c>
      <c r="H10" s="11">
        <f>F10*D13</f>
        <v>0.30447458745874589</v>
      </c>
      <c r="I10" s="12">
        <v>9.42</v>
      </c>
      <c r="J10" s="11">
        <v>77.5</v>
      </c>
      <c r="K10">
        <v>6.9</v>
      </c>
      <c r="L10">
        <v>23.2</v>
      </c>
      <c r="M10" s="3">
        <v>2.57</v>
      </c>
      <c r="N10" s="3">
        <v>27.23</v>
      </c>
      <c r="O10" s="3">
        <v>2.3670528964663227</v>
      </c>
      <c r="P10" s="3" t="s">
        <v>114</v>
      </c>
    </row>
    <row r="11" spans="1:16" x14ac:dyDescent="0.25">
      <c r="A11" t="s">
        <v>10</v>
      </c>
      <c r="B11" s="10">
        <v>9.1999999999999993</v>
      </c>
      <c r="C11" s="11">
        <v>28.5</v>
      </c>
      <c r="D11" s="11">
        <f>C11*D13</f>
        <v>31.66980198019802</v>
      </c>
      <c r="E11" s="10">
        <v>31.12</v>
      </c>
      <c r="F11" s="10">
        <v>44.63</v>
      </c>
      <c r="G11" s="11">
        <f>E11*D13</f>
        <v>34.581201320132017</v>
      </c>
      <c r="H11" s="11">
        <f t="shared" ref="H11" si="2">F11*D14</f>
        <v>41.974639664804478</v>
      </c>
      <c r="I11" s="5">
        <v>9.7200000000000006</v>
      </c>
      <c r="J11" s="10">
        <v>104</v>
      </c>
      <c r="K11" t="s">
        <v>17</v>
      </c>
      <c r="L11" t="s">
        <v>17</v>
      </c>
      <c r="M11" s="3">
        <v>3.87</v>
      </c>
      <c r="N11" s="3">
        <v>0.97</v>
      </c>
      <c r="O11" s="3">
        <v>0.35534450261722034</v>
      </c>
      <c r="P11" s="3">
        <v>52</v>
      </c>
    </row>
    <row r="12" spans="1:16" x14ac:dyDescent="0.25">
      <c r="I12" s="11"/>
      <c r="M12" s="3"/>
    </row>
    <row r="13" spans="1:16" x14ac:dyDescent="0.25">
      <c r="B13" t="s">
        <v>18</v>
      </c>
      <c r="C13">
        <v>30.3</v>
      </c>
      <c r="D13">
        <f>33.67/C13</f>
        <v>1.1112211221122112</v>
      </c>
      <c r="I13" s="10"/>
    </row>
    <row r="14" spans="1:16" x14ac:dyDescent="0.25">
      <c r="B14" s="1" t="s">
        <v>19</v>
      </c>
      <c r="C14" s="1">
        <v>35.799999999999997</v>
      </c>
      <c r="D14" s="1">
        <f>33.67/C14</f>
        <v>0.94050279329608955</v>
      </c>
    </row>
    <row r="15" spans="1:16" x14ac:dyDescent="0.25">
      <c r="B15" t="s">
        <v>143</v>
      </c>
      <c r="C15">
        <v>33.67</v>
      </c>
      <c r="N15" s="7">
        <v>74.12</v>
      </c>
      <c r="O15" s="7" t="s">
        <v>142</v>
      </c>
    </row>
    <row r="16" spans="1:16" x14ac:dyDescent="0.25">
      <c r="D16" t="s">
        <v>84</v>
      </c>
      <c r="E16" t="s">
        <v>85</v>
      </c>
    </row>
    <row r="17" spans="3:5" x14ac:dyDescent="0.25">
      <c r="D17">
        <v>0</v>
      </c>
      <c r="E17" t="s">
        <v>86</v>
      </c>
    </row>
    <row r="18" spans="3:5" x14ac:dyDescent="0.25">
      <c r="C18" s="7" t="s">
        <v>141</v>
      </c>
    </row>
    <row r="26" spans="3:5" x14ac:dyDescent="0.25">
      <c r="C26" s="3"/>
    </row>
  </sheetData>
  <phoneticPr fontId="8" type="noConversion"/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opLeftCell="C1" workbookViewId="0">
      <selection activeCell="F10" sqref="F10:F11"/>
    </sheetView>
  </sheetViews>
  <sheetFormatPr defaultColWidth="8.85546875" defaultRowHeight="15" x14ac:dyDescent="0.25"/>
  <cols>
    <col min="2" max="2" width="38" customWidth="1"/>
    <col min="3" max="3" width="34.42578125" customWidth="1"/>
    <col min="4" max="4" width="52.42578125" customWidth="1"/>
    <col min="5" max="5" width="38.28515625" customWidth="1"/>
    <col min="6" max="6" width="16.85546875" customWidth="1"/>
  </cols>
  <sheetData>
    <row r="1" spans="1:6" x14ac:dyDescent="0.25">
      <c r="A1" t="s">
        <v>0</v>
      </c>
      <c r="B1" t="s">
        <v>41</v>
      </c>
      <c r="C1" t="s">
        <v>42</v>
      </c>
      <c r="D1" t="s">
        <v>43</v>
      </c>
      <c r="E1" t="s">
        <v>59</v>
      </c>
      <c r="F1" t="s">
        <v>121</v>
      </c>
    </row>
    <row r="2" spans="1:6" x14ac:dyDescent="0.25">
      <c r="A2" t="s">
        <v>1</v>
      </c>
      <c r="B2" t="s">
        <v>116</v>
      </c>
      <c r="C2" t="s">
        <v>115</v>
      </c>
      <c r="D2" t="s">
        <v>17</v>
      </c>
      <c r="E2" t="s">
        <v>120</v>
      </c>
      <c r="F2" t="s">
        <v>122</v>
      </c>
    </row>
    <row r="3" spans="1:6" x14ac:dyDescent="0.25">
      <c r="A3" t="s">
        <v>2</v>
      </c>
      <c r="C3" t="s">
        <v>91</v>
      </c>
    </row>
    <row r="4" spans="1:6" x14ac:dyDescent="0.25">
      <c r="A4" t="s">
        <v>3</v>
      </c>
      <c r="B4" t="s">
        <v>117</v>
      </c>
      <c r="C4" t="s">
        <v>123</v>
      </c>
      <c r="D4" t="s">
        <v>17</v>
      </c>
      <c r="E4" t="s">
        <v>124</v>
      </c>
      <c r="F4" t="s">
        <v>125</v>
      </c>
    </row>
    <row r="5" spans="1:6" x14ac:dyDescent="0.25">
      <c r="A5" t="s">
        <v>4</v>
      </c>
      <c r="B5" t="s">
        <v>126</v>
      </c>
      <c r="C5" t="s">
        <v>130</v>
      </c>
      <c r="D5" t="s">
        <v>127</v>
      </c>
      <c r="E5" t="s">
        <v>128</v>
      </c>
      <c r="F5" t="s">
        <v>129</v>
      </c>
    </row>
    <row r="6" spans="1:6" x14ac:dyDescent="0.25">
      <c r="A6" t="s">
        <v>5</v>
      </c>
      <c r="B6" t="s">
        <v>137</v>
      </c>
      <c r="C6" t="s">
        <v>138</v>
      </c>
    </row>
    <row r="8" spans="1:6" x14ac:dyDescent="0.25">
      <c r="A8" t="s">
        <v>6</v>
      </c>
      <c r="B8" t="s">
        <v>137</v>
      </c>
      <c r="C8" t="s">
        <v>139</v>
      </c>
      <c r="D8" t="s">
        <v>140</v>
      </c>
    </row>
    <row r="10" spans="1:6" x14ac:dyDescent="0.25">
      <c r="A10" t="s">
        <v>7</v>
      </c>
      <c r="B10" t="s">
        <v>145</v>
      </c>
      <c r="C10" t="s">
        <v>105</v>
      </c>
      <c r="D10" t="s">
        <v>146</v>
      </c>
      <c r="E10" t="s">
        <v>148</v>
      </c>
      <c r="F10" t="s">
        <v>150</v>
      </c>
    </row>
    <row r="11" spans="1:6" x14ac:dyDescent="0.25">
      <c r="A11" t="s">
        <v>8</v>
      </c>
      <c r="B11" t="s">
        <v>145</v>
      </c>
      <c r="C11" t="s">
        <v>106</v>
      </c>
      <c r="D11" t="s">
        <v>147</v>
      </c>
      <c r="E11" t="s">
        <v>149</v>
      </c>
      <c r="F11" t="s">
        <v>151</v>
      </c>
    </row>
    <row r="12" spans="1:6" x14ac:dyDescent="0.25">
      <c r="A12" t="s">
        <v>9</v>
      </c>
      <c r="B12" t="s">
        <v>132</v>
      </c>
      <c r="C12" t="s">
        <v>104</v>
      </c>
      <c r="D12" t="s">
        <v>134</v>
      </c>
      <c r="E12" t="s">
        <v>17</v>
      </c>
      <c r="F12" t="s">
        <v>133</v>
      </c>
    </row>
    <row r="13" spans="1:6" x14ac:dyDescent="0.25">
      <c r="A13" t="s">
        <v>10</v>
      </c>
      <c r="B13" t="s">
        <v>136</v>
      </c>
      <c r="C13" t="s">
        <v>103</v>
      </c>
      <c r="F13" t="s">
        <v>135</v>
      </c>
    </row>
    <row r="15" spans="1:6" x14ac:dyDescent="0.25">
      <c r="B15" t="s">
        <v>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8" sqref="B8"/>
    </sheetView>
  </sheetViews>
  <sheetFormatPr defaultColWidth="8.85546875" defaultRowHeight="15" x14ac:dyDescent="0.25"/>
  <cols>
    <col min="2" max="2" width="21.28515625" customWidth="1"/>
    <col min="3" max="3" width="16" customWidth="1"/>
    <col min="4" max="4" width="21.85546875" customWidth="1"/>
    <col min="5" max="5" width="24.7109375" customWidth="1"/>
    <col min="6" max="6" width="13.7109375" customWidth="1"/>
  </cols>
  <sheetData>
    <row r="1" spans="1:2" x14ac:dyDescent="0.25">
      <c r="A1" t="s">
        <v>57</v>
      </c>
      <c r="B1" t="s">
        <v>119</v>
      </c>
    </row>
    <row r="2" spans="1:2" x14ac:dyDescent="0.25">
      <c r="A2" t="s">
        <v>46</v>
      </c>
      <c r="B2" t="s">
        <v>118</v>
      </c>
    </row>
    <row r="3" spans="1:2" x14ac:dyDescent="0.25">
      <c r="A3" t="s">
        <v>47</v>
      </c>
    </row>
    <row r="4" spans="1:2" x14ac:dyDescent="0.25">
      <c r="A4" t="s">
        <v>50</v>
      </c>
    </row>
    <row r="6" spans="1:2" x14ac:dyDescent="0.25">
      <c r="A6" t="s">
        <v>53</v>
      </c>
    </row>
    <row r="8" spans="1:2" x14ac:dyDescent="0.25">
      <c r="A8" t="s">
        <v>92</v>
      </c>
    </row>
    <row r="9" spans="1:2" x14ac:dyDescent="0.25">
      <c r="A9" t="s">
        <v>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F8" sqref="F8"/>
    </sheetView>
  </sheetViews>
  <sheetFormatPr defaultColWidth="8.85546875" defaultRowHeight="15" x14ac:dyDescent="0.25"/>
  <cols>
    <col min="2" max="2" width="13.42578125" customWidth="1"/>
    <col min="3" max="3" width="14.7109375" customWidth="1"/>
    <col min="4" max="4" width="12.7109375" customWidth="1"/>
  </cols>
  <sheetData>
    <row r="1" spans="1:5" x14ac:dyDescent="0.25">
      <c r="A1" t="s">
        <v>45</v>
      </c>
      <c r="B1" t="s">
        <v>58</v>
      </c>
    </row>
    <row r="2" spans="1:5" x14ac:dyDescent="0.25">
      <c r="A2" t="s">
        <v>48</v>
      </c>
      <c r="B2" t="s">
        <v>49</v>
      </c>
      <c r="C2" t="s">
        <v>87</v>
      </c>
      <c r="D2" t="s">
        <v>88</v>
      </c>
      <c r="E2" t="s">
        <v>89</v>
      </c>
    </row>
    <row r="3" spans="1:5" x14ac:dyDescent="0.25">
      <c r="A3" t="s">
        <v>47</v>
      </c>
    </row>
    <row r="4" spans="1:5" x14ac:dyDescent="0.25">
      <c r="A4" t="s">
        <v>51</v>
      </c>
    </row>
    <row r="6" spans="1:5" x14ac:dyDescent="0.25">
      <c r="A6" t="s">
        <v>52</v>
      </c>
      <c r="B6" t="s">
        <v>93</v>
      </c>
      <c r="C6" t="s">
        <v>94</v>
      </c>
    </row>
    <row r="7" spans="1:5" x14ac:dyDescent="0.25">
      <c r="A7" t="s">
        <v>54</v>
      </c>
    </row>
    <row r="8" spans="1:5" x14ac:dyDescent="0.25">
      <c r="A8" t="s">
        <v>55</v>
      </c>
    </row>
    <row r="10" spans="1:5" x14ac:dyDescent="0.25">
      <c r="A10" t="s">
        <v>56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N4" sqref="N4:N13"/>
    </sheetView>
  </sheetViews>
  <sheetFormatPr defaultColWidth="8.85546875" defaultRowHeight="15" x14ac:dyDescent="0.25"/>
  <sheetData>
    <row r="1" spans="1:14" x14ac:dyDescent="0.25">
      <c r="A1" t="s">
        <v>100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27</v>
      </c>
      <c r="I1" t="s">
        <v>27</v>
      </c>
      <c r="J1" t="s">
        <v>39</v>
      </c>
      <c r="K1" t="s">
        <v>83</v>
      </c>
      <c r="L1" t="s">
        <v>40</v>
      </c>
    </row>
    <row r="2" spans="1:14" x14ac:dyDescent="0.25">
      <c r="A2">
        <v>17062017</v>
      </c>
      <c r="B2" t="s">
        <v>101</v>
      </c>
      <c r="L2" s="8" t="s">
        <v>102</v>
      </c>
    </row>
    <row r="3" spans="1:14" x14ac:dyDescent="0.25">
      <c r="B3" t="s">
        <v>99</v>
      </c>
      <c r="C3">
        <v>2.9999999999999997E-4</v>
      </c>
      <c r="D3">
        <v>2.9999999999999997E-4</v>
      </c>
      <c r="E3">
        <v>2.0000000000000001E-4</v>
      </c>
      <c r="F3">
        <v>2.9999999999999997E-4</v>
      </c>
      <c r="G3">
        <f>D3-C3</f>
        <v>0</v>
      </c>
      <c r="H3">
        <f>E3-C3</f>
        <v>-9.9999999999999964E-5</v>
      </c>
      <c r="I3">
        <f>F3-C3</f>
        <v>0</v>
      </c>
      <c r="J3">
        <f>11.85*G3-1.54*H3-0.08*I3</f>
        <v>1.5399999999999995E-4</v>
      </c>
    </row>
    <row r="4" spans="1:14" x14ac:dyDescent="0.25">
      <c r="B4">
        <v>1</v>
      </c>
      <c r="C4">
        <v>3.0700000000000002E-2</v>
      </c>
      <c r="D4">
        <v>4.3799999999999999E-2</v>
      </c>
      <c r="E4">
        <v>3.8800000000000001E-2</v>
      </c>
      <c r="F4">
        <v>3.9E-2</v>
      </c>
      <c r="G4">
        <f>D4-C4</f>
        <v>1.3099999999999997E-2</v>
      </c>
      <c r="H4">
        <f>E4-C4</f>
        <v>8.0999999999999996E-3</v>
      </c>
      <c r="I4">
        <f>F4-C4</f>
        <v>8.2999999999999984E-3</v>
      </c>
      <c r="J4">
        <f>11.85*G4-1.54*H4-0.08*I4</f>
        <v>0.14209699999999997</v>
      </c>
      <c r="K4">
        <v>1.02</v>
      </c>
      <c r="L4">
        <f>J4*10/K4</f>
        <v>1.3931078431372546</v>
      </c>
      <c r="N4">
        <v>1.39</v>
      </c>
    </row>
    <row r="5" spans="1:14" x14ac:dyDescent="0.25">
      <c r="B5">
        <v>2</v>
      </c>
      <c r="C5">
        <v>1.03E-2</v>
      </c>
      <c r="D5">
        <v>2.1000000000000001E-2</v>
      </c>
      <c r="E5">
        <v>1.5599999999999999E-2</v>
      </c>
      <c r="F5">
        <v>1.5100000000000001E-2</v>
      </c>
      <c r="G5">
        <f>E5-C5</f>
        <v>5.2999999999999992E-3</v>
      </c>
      <c r="H5">
        <f t="shared" ref="H5" si="0">E5-C5</f>
        <v>5.2999999999999992E-3</v>
      </c>
      <c r="I5">
        <f t="shared" ref="I5:I8" si="1">F5-C5</f>
        <v>4.8000000000000004E-3</v>
      </c>
      <c r="J5">
        <f t="shared" ref="J5:J8" si="2">11.85*G5-1.54*H5-0.08*I5</f>
        <v>5.4258999999999981E-2</v>
      </c>
      <c r="K5">
        <v>1.1000000000000001</v>
      </c>
      <c r="L5">
        <f t="shared" ref="L5:L8" si="3">J5*10/K5</f>
        <v>0.49326363636363613</v>
      </c>
      <c r="N5" s="3">
        <v>0.49</v>
      </c>
    </row>
    <row r="6" spans="1:14" x14ac:dyDescent="0.25">
      <c r="B6">
        <v>3</v>
      </c>
      <c r="C6">
        <v>7.4000000000000003E-3</v>
      </c>
      <c r="D6">
        <v>1.5699999999999999E-2</v>
      </c>
      <c r="E6">
        <v>1.18E-2</v>
      </c>
      <c r="F6">
        <v>9.9000000000000008E-3</v>
      </c>
      <c r="G6">
        <f t="shared" ref="G6:G8" si="4">D6-C6</f>
        <v>8.2999999999999984E-3</v>
      </c>
      <c r="H6">
        <f t="shared" ref="H6:H8" si="5">E6-C6</f>
        <v>4.3999999999999994E-3</v>
      </c>
      <c r="I6">
        <f t="shared" si="1"/>
        <v>2.5000000000000005E-3</v>
      </c>
      <c r="J6">
        <f t="shared" si="2"/>
        <v>9.1378999999999974E-2</v>
      </c>
      <c r="K6">
        <v>1.1000000000000001</v>
      </c>
      <c r="L6">
        <f t="shared" si="3"/>
        <v>0.83071818181818158</v>
      </c>
      <c r="N6" s="3">
        <v>0.83</v>
      </c>
    </row>
    <row r="7" spans="1:14" x14ac:dyDescent="0.25">
      <c r="B7">
        <v>4</v>
      </c>
      <c r="C7">
        <v>0.21820000000000001</v>
      </c>
      <c r="D7">
        <v>0.26529999999999998</v>
      </c>
      <c r="E7">
        <v>0.2621</v>
      </c>
      <c r="F7">
        <v>0.2646</v>
      </c>
      <c r="G7">
        <f t="shared" si="4"/>
        <v>4.7099999999999975E-2</v>
      </c>
      <c r="H7">
        <f t="shared" si="5"/>
        <v>4.3899999999999995E-2</v>
      </c>
      <c r="I7">
        <f t="shared" si="1"/>
        <v>4.6399999999999997E-2</v>
      </c>
      <c r="J7">
        <f t="shared" si="2"/>
        <v>0.48681699999999972</v>
      </c>
      <c r="K7">
        <v>1.1000000000000001</v>
      </c>
      <c r="L7">
        <f t="shared" si="3"/>
        <v>4.4256090909090879</v>
      </c>
      <c r="N7" s="3">
        <v>4.53</v>
      </c>
    </row>
    <row r="8" spans="1:14" x14ac:dyDescent="0.25">
      <c r="B8">
        <v>4</v>
      </c>
      <c r="C8">
        <v>0.24640000000000001</v>
      </c>
      <c r="D8">
        <v>0.2959</v>
      </c>
      <c r="E8">
        <v>0.29330000000000001</v>
      </c>
      <c r="F8">
        <v>0.2913</v>
      </c>
      <c r="G8">
        <f t="shared" si="4"/>
        <v>4.9499999999999988E-2</v>
      </c>
      <c r="H8">
        <f t="shared" si="5"/>
        <v>4.6899999999999997E-2</v>
      </c>
      <c r="I8">
        <f t="shared" si="1"/>
        <v>4.4899999999999995E-2</v>
      </c>
      <c r="J8">
        <f t="shared" si="2"/>
        <v>0.51075699999999979</v>
      </c>
      <c r="K8">
        <v>1.1000000000000001</v>
      </c>
      <c r="L8">
        <f t="shared" si="3"/>
        <v>4.6432454545454522</v>
      </c>
      <c r="N8" s="3">
        <v>1.5</v>
      </c>
    </row>
    <row r="9" spans="1:14" x14ac:dyDescent="0.25">
      <c r="B9">
        <v>5</v>
      </c>
      <c r="C9">
        <v>3.3099999999999997E-2</v>
      </c>
      <c r="D9">
        <v>4.6899999999999997E-2</v>
      </c>
      <c r="E9">
        <v>4.1700000000000001E-2</v>
      </c>
      <c r="F9">
        <v>4.0899999999999999E-2</v>
      </c>
      <c r="G9">
        <f>D9-C9</f>
        <v>1.38E-2</v>
      </c>
      <c r="H9">
        <f>E9-C9</f>
        <v>8.6000000000000035E-3</v>
      </c>
      <c r="I9">
        <f>F9-C9</f>
        <v>7.8000000000000014E-3</v>
      </c>
      <c r="J9">
        <f>11.85*G9-1.54*H9-0.08*I9</f>
        <v>0.14966199999999996</v>
      </c>
      <c r="K9">
        <v>1</v>
      </c>
      <c r="L9">
        <f>J9*10/K9</f>
        <v>1.4966199999999996</v>
      </c>
      <c r="N9" s="3">
        <v>2.66</v>
      </c>
    </row>
    <row r="10" spans="1:14" x14ac:dyDescent="0.25">
      <c r="B10">
        <v>6</v>
      </c>
      <c r="C10">
        <v>7.8600000000000003E-2</v>
      </c>
      <c r="D10">
        <v>0.1085</v>
      </c>
      <c r="E10">
        <v>9.9500000000000005E-2</v>
      </c>
      <c r="F10">
        <v>9.8100000000000007E-2</v>
      </c>
      <c r="G10">
        <f>D10-C10</f>
        <v>2.9899999999999996E-2</v>
      </c>
      <c r="H10">
        <f>E10-C10</f>
        <v>2.0900000000000002E-2</v>
      </c>
      <c r="I10">
        <f>F10-C10</f>
        <v>1.9500000000000003E-2</v>
      </c>
      <c r="J10">
        <f>11.85*G10-1.54*H10-0.08*I10</f>
        <v>0.32056899999999994</v>
      </c>
      <c r="K10">
        <v>1.2</v>
      </c>
      <c r="L10">
        <f>J10*10/K10</f>
        <v>2.6714083333333329</v>
      </c>
      <c r="N10" s="3">
        <v>1.35</v>
      </c>
    </row>
    <row r="11" spans="1:14" x14ac:dyDescent="0.25">
      <c r="B11">
        <v>6</v>
      </c>
      <c r="C11">
        <v>7.9200000000000007E-2</v>
      </c>
      <c r="D11">
        <v>0.109</v>
      </c>
      <c r="E11">
        <v>0.1003</v>
      </c>
      <c r="F11">
        <v>9.8299999999999998E-2</v>
      </c>
      <c r="G11">
        <f>D11-C11</f>
        <v>2.9799999999999993E-2</v>
      </c>
      <c r="H11">
        <f>E11-C11</f>
        <v>2.1099999999999994E-2</v>
      </c>
      <c r="I11">
        <f>F11-C11</f>
        <v>1.9099999999999992E-2</v>
      </c>
      <c r="J11">
        <f>11.85*G11-1.54*H11-0.08*I11</f>
        <v>0.31910799999999995</v>
      </c>
      <c r="K11">
        <v>1.2</v>
      </c>
      <c r="L11">
        <f>J11*10/K11</f>
        <v>2.6592333333333329</v>
      </c>
      <c r="N11" s="3">
        <v>7.33</v>
      </c>
    </row>
    <row r="12" spans="1:14" x14ac:dyDescent="0.25">
      <c r="B12">
        <v>7</v>
      </c>
      <c r="C12">
        <v>1.46E-2</v>
      </c>
      <c r="D12">
        <v>2.6599999999999999E-2</v>
      </c>
      <c r="E12">
        <v>2.0199999999999999E-2</v>
      </c>
      <c r="F12">
        <v>1.95E-2</v>
      </c>
      <c r="G12">
        <f>D12-C12</f>
        <v>1.1999999999999999E-2</v>
      </c>
      <c r="H12">
        <f>E12-C12</f>
        <v>5.5999999999999991E-3</v>
      </c>
      <c r="I12">
        <f>F12-C12</f>
        <v>4.8999999999999998E-3</v>
      </c>
      <c r="J12">
        <f>11.85*G12-1.54*H12-0.08*I12</f>
        <v>0.13318399999999997</v>
      </c>
      <c r="K12">
        <v>0.99</v>
      </c>
      <c r="L12">
        <f>J12*10/K12</f>
        <v>1.345292929292929</v>
      </c>
      <c r="N12" s="3">
        <v>2.57</v>
      </c>
    </row>
    <row r="13" spans="1:14" x14ac:dyDescent="0.25">
      <c r="B13">
        <v>8</v>
      </c>
      <c r="C13">
        <v>1.72E-2</v>
      </c>
      <c r="D13">
        <v>3.3500000000000002E-2</v>
      </c>
      <c r="E13">
        <v>2.53E-2</v>
      </c>
      <c r="F13">
        <v>2.1899999999999999E-2</v>
      </c>
      <c r="G13">
        <f t="shared" ref="G13:G16" si="6">D13-C13</f>
        <v>1.6300000000000002E-2</v>
      </c>
      <c r="H13">
        <f t="shared" ref="H13:H16" si="7">E13-C13</f>
        <v>8.0999999999999996E-3</v>
      </c>
      <c r="I13">
        <f t="shared" ref="I13:I16" si="8">F13-C13</f>
        <v>4.6999999999999993E-3</v>
      </c>
      <c r="J13">
        <f t="shared" ref="J13:J16" si="9">11.85*G13-1.54*H13-0.08*I13</f>
        <v>0.18030500000000005</v>
      </c>
      <c r="K13">
        <v>0.246</v>
      </c>
      <c r="L13">
        <f t="shared" ref="L13:L16" si="10">J13*10/K13</f>
        <v>7.3294715447154495</v>
      </c>
      <c r="N13" s="3">
        <v>3.87</v>
      </c>
    </row>
    <row r="14" spans="1:14" x14ac:dyDescent="0.25">
      <c r="B14">
        <v>9</v>
      </c>
      <c r="C14">
        <v>2.3599999999999999E-2</v>
      </c>
      <c r="D14">
        <v>3.3300000000000003E-2</v>
      </c>
      <c r="E14">
        <v>3.1099999999999999E-2</v>
      </c>
      <c r="F14">
        <v>3.0599999999999999E-2</v>
      </c>
      <c r="G14">
        <f t="shared" si="6"/>
        <v>9.7000000000000038E-3</v>
      </c>
      <c r="H14">
        <f t="shared" si="7"/>
        <v>7.4999999999999997E-3</v>
      </c>
      <c r="I14">
        <f t="shared" si="8"/>
        <v>6.9999999999999993E-3</v>
      </c>
      <c r="J14">
        <f t="shared" si="9"/>
        <v>0.10283500000000004</v>
      </c>
      <c r="K14">
        <v>0.4</v>
      </c>
      <c r="L14">
        <f t="shared" si="10"/>
        <v>2.5708750000000005</v>
      </c>
    </row>
    <row r="15" spans="1:14" x14ac:dyDescent="0.25">
      <c r="B15">
        <v>10</v>
      </c>
      <c r="C15">
        <v>3.9699999999999999E-2</v>
      </c>
      <c r="D15">
        <v>7.4899999999999994E-2</v>
      </c>
      <c r="E15">
        <v>5.6599999999999998E-2</v>
      </c>
      <c r="F15">
        <v>5.5199999999999999E-2</v>
      </c>
      <c r="G15">
        <f t="shared" si="6"/>
        <v>3.5199999999999995E-2</v>
      </c>
      <c r="H15">
        <f t="shared" si="7"/>
        <v>1.6899999999999998E-2</v>
      </c>
      <c r="I15">
        <f t="shared" si="8"/>
        <v>1.55E-2</v>
      </c>
      <c r="J15">
        <f t="shared" si="9"/>
        <v>0.38985399999999992</v>
      </c>
      <c r="K15">
        <v>1</v>
      </c>
      <c r="L15">
        <f t="shared" si="10"/>
        <v>3.8985399999999992</v>
      </c>
    </row>
    <row r="16" spans="1:14" x14ac:dyDescent="0.25">
      <c r="B16">
        <v>10</v>
      </c>
      <c r="C16">
        <v>3.61E-2</v>
      </c>
      <c r="D16">
        <v>7.0800000000000002E-2</v>
      </c>
      <c r="E16">
        <v>5.2499999999999998E-2</v>
      </c>
      <c r="F16">
        <v>5.1400000000000001E-2</v>
      </c>
      <c r="G16">
        <f t="shared" si="6"/>
        <v>3.4700000000000002E-2</v>
      </c>
      <c r="H16">
        <f t="shared" si="7"/>
        <v>1.6399999999999998E-2</v>
      </c>
      <c r="I16">
        <f t="shared" si="8"/>
        <v>1.5300000000000001E-2</v>
      </c>
      <c r="J16">
        <f t="shared" si="9"/>
        <v>0.38471500000000003</v>
      </c>
      <c r="K16">
        <v>1</v>
      </c>
      <c r="L16">
        <f t="shared" si="10"/>
        <v>3.8471500000000001</v>
      </c>
    </row>
  </sheetData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workbookViewId="0">
      <selection activeCell="E6" sqref="E6:E15"/>
    </sheetView>
  </sheetViews>
  <sheetFormatPr defaultColWidth="8.85546875" defaultRowHeight="15" x14ac:dyDescent="0.25"/>
  <sheetData>
    <row r="1" spans="1:5" x14ac:dyDescent="0.25">
      <c r="A1" t="s">
        <v>0</v>
      </c>
      <c r="B1" t="s">
        <v>25</v>
      </c>
      <c r="C1" t="s">
        <v>26</v>
      </c>
      <c r="D1" t="s">
        <v>27</v>
      </c>
      <c r="E1" t="s">
        <v>23</v>
      </c>
    </row>
    <row r="2" spans="1:5" x14ac:dyDescent="0.25">
      <c r="A2" t="s">
        <v>28</v>
      </c>
      <c r="B2">
        <v>3.0000000000000001E-3</v>
      </c>
      <c r="C2">
        <v>3.0000000000000001E-3</v>
      </c>
      <c r="D2">
        <f>C2-$B$2</f>
        <v>0</v>
      </c>
      <c r="E2" s="3">
        <f>D2*$C$22</f>
        <v>0</v>
      </c>
    </row>
    <row r="3" spans="1:5" x14ac:dyDescent="0.25">
      <c r="A3" t="s">
        <v>29</v>
      </c>
      <c r="B3">
        <v>4.8470000000000004</v>
      </c>
      <c r="C3">
        <v>0.84899999999999998</v>
      </c>
      <c r="D3">
        <f t="shared" ref="D3:D15" si="0">C3-$B$2</f>
        <v>0.84599999999999997</v>
      </c>
      <c r="E3" s="3">
        <f t="shared" ref="E3:E15" si="1">D3*$C$22</f>
        <v>4.8487330518414264</v>
      </c>
    </row>
    <row r="4" spans="1:5" x14ac:dyDescent="0.25">
      <c r="A4" t="s">
        <v>30</v>
      </c>
      <c r="B4">
        <v>2.423</v>
      </c>
      <c r="C4">
        <v>0.44400000000000001</v>
      </c>
      <c r="D4">
        <f t="shared" si="0"/>
        <v>0.441</v>
      </c>
      <c r="E4" s="3">
        <f t="shared" si="1"/>
        <v>2.527531058938616</v>
      </c>
    </row>
    <row r="5" spans="1:5" x14ac:dyDescent="0.25">
      <c r="A5" t="s">
        <v>90</v>
      </c>
      <c r="B5">
        <v>1.212</v>
      </c>
      <c r="C5">
        <v>0.20599999999999999</v>
      </c>
      <c r="D5">
        <f t="shared" si="0"/>
        <v>0.20299999999999999</v>
      </c>
      <c r="E5" s="3">
        <f t="shared" si="1"/>
        <v>1.1634666779241247</v>
      </c>
    </row>
    <row r="6" spans="1:5" x14ac:dyDescent="0.25">
      <c r="A6" t="s">
        <v>1</v>
      </c>
      <c r="C6">
        <v>3.5000000000000003E-2</v>
      </c>
      <c r="D6">
        <f t="shared" si="0"/>
        <v>3.2000000000000001E-2</v>
      </c>
      <c r="E6" s="3">
        <f t="shared" si="1"/>
        <v>0.18340361425404922</v>
      </c>
    </row>
    <row r="7" spans="1:5" x14ac:dyDescent="0.25">
      <c r="A7" t="s">
        <v>2</v>
      </c>
      <c r="C7">
        <v>3.6999999999999998E-2</v>
      </c>
      <c r="D7">
        <f t="shared" si="0"/>
        <v>3.3999999999999996E-2</v>
      </c>
      <c r="E7" s="3">
        <f t="shared" si="1"/>
        <v>0.19486634014492726</v>
      </c>
    </row>
    <row r="8" spans="1:5" x14ac:dyDescent="0.25">
      <c r="A8" t="s">
        <v>3</v>
      </c>
      <c r="C8">
        <v>0.04</v>
      </c>
      <c r="D8">
        <f t="shared" si="0"/>
        <v>3.6999999999999998E-2</v>
      </c>
      <c r="E8" s="3">
        <f t="shared" si="1"/>
        <v>0.21206042898124439</v>
      </c>
    </row>
    <row r="9" spans="1:5" x14ac:dyDescent="0.25">
      <c r="A9" t="s">
        <v>4</v>
      </c>
      <c r="C9">
        <v>0.14899999999999999</v>
      </c>
      <c r="D9">
        <f t="shared" si="0"/>
        <v>0.14599999999999999</v>
      </c>
      <c r="E9" s="3">
        <f t="shared" si="1"/>
        <v>0.8367789900340995</v>
      </c>
    </row>
    <row r="10" spans="1:5" x14ac:dyDescent="0.25">
      <c r="A10" t="s">
        <v>5</v>
      </c>
      <c r="C10">
        <v>8.2000000000000003E-2</v>
      </c>
      <c r="D10">
        <f t="shared" si="0"/>
        <v>7.9000000000000001E-2</v>
      </c>
      <c r="E10" s="3">
        <f t="shared" si="1"/>
        <v>0.452777672689684</v>
      </c>
    </row>
    <row r="11" spans="1:5" x14ac:dyDescent="0.25">
      <c r="A11" t="s">
        <v>6</v>
      </c>
      <c r="C11">
        <v>4.2000000000000003E-2</v>
      </c>
      <c r="D11">
        <f t="shared" si="0"/>
        <v>3.9E-2</v>
      </c>
      <c r="E11" s="3">
        <f t="shared" si="1"/>
        <v>0.22352315487212249</v>
      </c>
    </row>
    <row r="12" spans="1:5" x14ac:dyDescent="0.25">
      <c r="A12" t="s">
        <v>7</v>
      </c>
      <c r="C12">
        <v>4.2999999999999997E-2</v>
      </c>
      <c r="D12">
        <f t="shared" si="0"/>
        <v>3.9999999999999994E-2</v>
      </c>
      <c r="E12" s="3">
        <f t="shared" si="1"/>
        <v>0.22925451781756148</v>
      </c>
    </row>
    <row r="13" spans="1:5" x14ac:dyDescent="0.25">
      <c r="A13" t="s">
        <v>8</v>
      </c>
      <c r="C13">
        <v>0.192</v>
      </c>
      <c r="D13">
        <f t="shared" si="0"/>
        <v>0.189</v>
      </c>
      <c r="E13" s="3">
        <f t="shared" si="1"/>
        <v>1.0832275966879783</v>
      </c>
    </row>
    <row r="14" spans="1:5" x14ac:dyDescent="0.25">
      <c r="A14" t="s">
        <v>9</v>
      </c>
      <c r="C14">
        <v>0.41599999999999998</v>
      </c>
      <c r="D14">
        <f t="shared" si="0"/>
        <v>0.41299999999999998</v>
      </c>
      <c r="E14" s="3">
        <f t="shared" si="1"/>
        <v>2.3670528964663227</v>
      </c>
    </row>
    <row r="15" spans="1:5" x14ac:dyDescent="0.25">
      <c r="A15" t="s">
        <v>10</v>
      </c>
      <c r="C15">
        <v>6.5000000000000002E-2</v>
      </c>
      <c r="D15">
        <f t="shared" si="0"/>
        <v>6.2E-2</v>
      </c>
      <c r="E15" s="3">
        <f t="shared" si="1"/>
        <v>0.35534450261722034</v>
      </c>
    </row>
    <row r="18" spans="1:3" x14ac:dyDescent="0.25">
      <c r="A18" t="s">
        <v>31</v>
      </c>
    </row>
    <row r="19" spans="1:3" x14ac:dyDescent="0.25">
      <c r="B19" t="s">
        <v>32</v>
      </c>
      <c r="C19">
        <f>B3/D3</f>
        <v>5.7293144208037834</v>
      </c>
    </row>
    <row r="20" spans="1:3" x14ac:dyDescent="0.25">
      <c r="C20">
        <f>B4/D4</f>
        <v>5.4943310657596376</v>
      </c>
    </row>
    <row r="21" spans="1:3" x14ac:dyDescent="0.25">
      <c r="C21">
        <f>B5/D5</f>
        <v>5.9704433497536948</v>
      </c>
    </row>
    <row r="22" spans="1:3" x14ac:dyDescent="0.25">
      <c r="C22">
        <f>AVERAGE(C19:C21)</f>
        <v>5.731362945439038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workbookViewId="0">
      <selection activeCell="E16" sqref="E16"/>
    </sheetView>
  </sheetViews>
  <sheetFormatPr defaultColWidth="11.42578125" defaultRowHeight="15" x14ac:dyDescent="0.25"/>
  <cols>
    <col min="3" max="3" width="26.140625" customWidth="1"/>
  </cols>
  <sheetData>
    <row r="1" spans="1:12" x14ac:dyDescent="0.25">
      <c r="A1" t="s">
        <v>60</v>
      </c>
      <c r="D1" t="s">
        <v>77</v>
      </c>
      <c r="E1" s="3">
        <f>5.46/0.245</f>
        <v>22.285714285714285</v>
      </c>
      <c r="G1" t="s">
        <v>79</v>
      </c>
      <c r="H1" s="3">
        <f>5.45/0.214</f>
        <v>25.467289719626169</v>
      </c>
      <c r="I1" t="s">
        <v>80</v>
      </c>
    </row>
    <row r="2" spans="1:12" x14ac:dyDescent="0.25">
      <c r="A2" s="4">
        <v>42861</v>
      </c>
      <c r="D2" t="s">
        <v>78</v>
      </c>
      <c r="E2" s="3">
        <f>5.46/0.24</f>
        <v>22.75</v>
      </c>
      <c r="G2" t="s">
        <v>107</v>
      </c>
      <c r="H2">
        <f>5.46/0.198</f>
        <v>27.575757575757574</v>
      </c>
    </row>
    <row r="3" spans="1:12" x14ac:dyDescent="0.25">
      <c r="A3" s="4"/>
    </row>
    <row r="4" spans="1:12" x14ac:dyDescent="0.25">
      <c r="A4" s="4"/>
    </row>
    <row r="5" spans="1:12" x14ac:dyDescent="0.25">
      <c r="A5" s="4"/>
    </row>
    <row r="6" spans="1:12" x14ac:dyDescent="0.25">
      <c r="G6" t="s">
        <v>82</v>
      </c>
    </row>
    <row r="7" spans="1:12" x14ac:dyDescent="0.25">
      <c r="B7" t="s">
        <v>63</v>
      </c>
      <c r="C7" t="s">
        <v>64</v>
      </c>
      <c r="D7" t="s">
        <v>65</v>
      </c>
      <c r="E7" t="s">
        <v>76</v>
      </c>
      <c r="F7" t="s">
        <v>81</v>
      </c>
      <c r="G7" t="s">
        <v>81</v>
      </c>
    </row>
    <row r="8" spans="1:12" x14ac:dyDescent="0.25">
      <c r="A8" t="s">
        <v>61</v>
      </c>
      <c r="B8" t="s">
        <v>66</v>
      </c>
      <c r="D8" s="6">
        <v>4.0000000000000001E-3</v>
      </c>
      <c r="E8" s="6">
        <f>D8-0.004</f>
        <v>0</v>
      </c>
    </row>
    <row r="9" spans="1:12" x14ac:dyDescent="0.25">
      <c r="B9" t="s">
        <v>67</v>
      </c>
      <c r="D9" s="6">
        <v>3.0000000000000001E-3</v>
      </c>
      <c r="E9" s="6">
        <f>D9-0.003</f>
        <v>0</v>
      </c>
    </row>
    <row r="10" spans="1:12" x14ac:dyDescent="0.25">
      <c r="B10" t="s">
        <v>68</v>
      </c>
      <c r="C10" t="s">
        <v>70</v>
      </c>
      <c r="D10" s="6">
        <v>0.214</v>
      </c>
      <c r="E10" s="6">
        <f t="shared" ref="E10:E13" si="0">D10-0.004</f>
        <v>0.21</v>
      </c>
    </row>
    <row r="11" spans="1:12" x14ac:dyDescent="0.25">
      <c r="B11" t="s">
        <v>69</v>
      </c>
      <c r="C11" t="s">
        <v>70</v>
      </c>
      <c r="D11" s="6">
        <v>0.245</v>
      </c>
      <c r="E11" s="6">
        <f t="shared" si="0"/>
        <v>0.24099999999999999</v>
      </c>
      <c r="F11" s="3">
        <f>E11*23.04</f>
        <v>5.5526399999999994</v>
      </c>
      <c r="K11" t="s">
        <v>81</v>
      </c>
      <c r="L11" t="s">
        <v>0</v>
      </c>
    </row>
    <row r="12" spans="1:12" x14ac:dyDescent="0.25">
      <c r="B12" t="s">
        <v>71</v>
      </c>
      <c r="D12" s="6">
        <v>0.218</v>
      </c>
      <c r="E12" s="6">
        <f t="shared" si="0"/>
        <v>0.214</v>
      </c>
      <c r="F12" s="3">
        <f>E12*$E$1</f>
        <v>4.7691428571428567</v>
      </c>
      <c r="G12" s="3"/>
      <c r="K12" s="3">
        <v>3.44</v>
      </c>
      <c r="L12">
        <v>1</v>
      </c>
    </row>
    <row r="13" spans="1:12" x14ac:dyDescent="0.25">
      <c r="B13" t="s">
        <v>108</v>
      </c>
      <c r="D13" s="6">
        <v>0.27100000000000002</v>
      </c>
      <c r="E13" s="6">
        <f t="shared" si="0"/>
        <v>0.26700000000000002</v>
      </c>
      <c r="F13" s="3">
        <f>E13*$E$1</f>
        <v>5.9502857142857142</v>
      </c>
      <c r="G13" s="3"/>
      <c r="K13" s="3">
        <v>3.85</v>
      </c>
      <c r="L13">
        <v>2</v>
      </c>
    </row>
    <row r="14" spans="1:12" x14ac:dyDescent="0.25">
      <c r="B14" t="s">
        <v>109</v>
      </c>
      <c r="D14" s="6">
        <v>0.32200000000000001</v>
      </c>
      <c r="E14" s="6">
        <f>D14-(0.004/10)</f>
        <v>0.3216</v>
      </c>
      <c r="F14" s="3">
        <f t="shared" ref="F14:F16" si="1">E14*$E$1</f>
        <v>7.1670857142857143</v>
      </c>
      <c r="G14" s="3"/>
      <c r="K14" s="3">
        <v>3.48</v>
      </c>
      <c r="L14">
        <v>3</v>
      </c>
    </row>
    <row r="15" spans="1:12" x14ac:dyDescent="0.25">
      <c r="B15" t="s">
        <v>110</v>
      </c>
      <c r="C15" s="5"/>
      <c r="D15" s="6">
        <v>0.33600000000000002</v>
      </c>
      <c r="E15" s="6">
        <f t="shared" ref="E15:E17" si="2">D15-(0.004/10)</f>
        <v>0.33560000000000001</v>
      </c>
      <c r="F15" s="3">
        <f t="shared" si="1"/>
        <v>7.4790857142857146</v>
      </c>
      <c r="G15" s="3"/>
      <c r="K15" s="3">
        <v>3.81</v>
      </c>
      <c r="L15">
        <v>4</v>
      </c>
    </row>
    <row r="16" spans="1:12" x14ac:dyDescent="0.25">
      <c r="B16" t="s">
        <v>111</v>
      </c>
      <c r="D16" s="6">
        <v>0.69899999999999995</v>
      </c>
      <c r="E16" s="6"/>
      <c r="F16" s="3">
        <f t="shared" si="1"/>
        <v>0</v>
      </c>
      <c r="G16" s="3"/>
      <c r="K16" s="3">
        <v>6.48</v>
      </c>
      <c r="L16">
        <v>5</v>
      </c>
    </row>
    <row r="17" spans="1:12" x14ac:dyDescent="0.25">
      <c r="B17" t="s">
        <v>112</v>
      </c>
      <c r="C17" t="s">
        <v>113</v>
      </c>
      <c r="D17" s="6">
        <v>0.55000000000000004</v>
      </c>
      <c r="E17" s="6">
        <f t="shared" si="2"/>
        <v>0.54960000000000009</v>
      </c>
      <c r="F17" s="3"/>
      <c r="G17" s="3"/>
      <c r="K17" s="3">
        <v>9.52</v>
      </c>
      <c r="L17">
        <v>6</v>
      </c>
    </row>
    <row r="18" spans="1:12" x14ac:dyDescent="0.25">
      <c r="D18" s="6"/>
      <c r="E18" s="6"/>
      <c r="F18" s="3"/>
      <c r="G18" s="3"/>
      <c r="K18" s="3">
        <v>3</v>
      </c>
      <c r="L18">
        <v>7</v>
      </c>
    </row>
    <row r="19" spans="1:12" x14ac:dyDescent="0.25">
      <c r="A19" t="s">
        <v>62</v>
      </c>
      <c r="B19" t="s">
        <v>66</v>
      </c>
      <c r="D19" s="6">
        <v>3.0000000000000001E-3</v>
      </c>
      <c r="E19" s="6">
        <f>D19-0.003</f>
        <v>0</v>
      </c>
      <c r="F19" s="3"/>
      <c r="G19" s="3"/>
      <c r="K19" s="3">
        <v>86.7</v>
      </c>
      <c r="L19">
        <v>8</v>
      </c>
    </row>
    <row r="20" spans="1:12" x14ac:dyDescent="0.25">
      <c r="B20" t="s">
        <v>67</v>
      </c>
      <c r="D20" s="6">
        <v>3.0000000000000001E-3</v>
      </c>
      <c r="E20" s="6">
        <f>D20-0.005</f>
        <v>-2E-3</v>
      </c>
      <c r="F20" s="3">
        <f>E20*23.33</f>
        <v>-4.666E-2</v>
      </c>
      <c r="G20" s="3"/>
      <c r="K20" s="3">
        <v>12.74</v>
      </c>
      <c r="L20">
        <v>9</v>
      </c>
    </row>
    <row r="21" spans="1:12" x14ac:dyDescent="0.25">
      <c r="B21" t="s">
        <v>68</v>
      </c>
      <c r="C21" t="s">
        <v>70</v>
      </c>
      <c r="D21" s="6">
        <v>0.193</v>
      </c>
      <c r="E21" s="6">
        <f>D21-0.004</f>
        <v>0.189</v>
      </c>
      <c r="F21" s="3"/>
      <c r="G21" s="3"/>
      <c r="K21" s="3">
        <v>3.74</v>
      </c>
      <c r="L21">
        <v>10</v>
      </c>
    </row>
    <row r="22" spans="1:12" x14ac:dyDescent="0.25">
      <c r="B22" t="s">
        <v>69</v>
      </c>
      <c r="C22" t="s">
        <v>70</v>
      </c>
      <c r="D22" s="6">
        <v>0.24</v>
      </c>
      <c r="E22" s="6">
        <f>D22-0.005</f>
        <v>0.23499999999999999</v>
      </c>
      <c r="F22" s="3">
        <f t="shared" ref="F22" si="3">E22*23.33</f>
        <v>5.4825499999999989</v>
      </c>
      <c r="G22" s="3"/>
    </row>
    <row r="23" spans="1:12" x14ac:dyDescent="0.25">
      <c r="B23" t="s">
        <v>72</v>
      </c>
      <c r="D23" s="6">
        <v>0.16200000000000001</v>
      </c>
      <c r="E23" s="6">
        <f t="shared" ref="E23:E28" si="4">D23-0.005</f>
        <v>0.157</v>
      </c>
      <c r="F23" s="3">
        <f>E23*21.9</f>
        <v>3.4382999999999999</v>
      </c>
      <c r="G23" s="3">
        <v>2.7296099999999996</v>
      </c>
      <c r="H23">
        <v>1</v>
      </c>
    </row>
    <row r="24" spans="1:12" x14ac:dyDescent="0.25">
      <c r="B24" t="s">
        <v>97</v>
      </c>
      <c r="D24" s="6">
        <v>0.16400000000000001</v>
      </c>
      <c r="E24" s="6">
        <f t="shared" si="4"/>
        <v>0.159</v>
      </c>
      <c r="F24" s="3">
        <f t="shared" ref="F24:F28" si="5">E24*21.9</f>
        <v>3.4821</v>
      </c>
      <c r="G24" s="3">
        <v>3.7794599999999998</v>
      </c>
      <c r="H24">
        <v>4</v>
      </c>
    </row>
    <row r="25" spans="1:12" x14ac:dyDescent="0.25">
      <c r="B25" t="s">
        <v>73</v>
      </c>
      <c r="D25" s="6">
        <v>0.17899999999999999</v>
      </c>
      <c r="E25" s="6">
        <f t="shared" si="4"/>
        <v>0.17399999999999999</v>
      </c>
      <c r="F25" s="3">
        <f t="shared" si="5"/>
        <v>3.8105999999999995</v>
      </c>
      <c r="G25" s="3">
        <v>4.0127599999999992</v>
      </c>
      <c r="H25">
        <v>5</v>
      </c>
    </row>
    <row r="26" spans="1:12" x14ac:dyDescent="0.25">
      <c r="B26" t="s">
        <v>74</v>
      </c>
      <c r="D26" s="6">
        <v>0.30099999999999999</v>
      </c>
      <c r="E26" s="6">
        <f t="shared" si="4"/>
        <v>0.29599999999999999</v>
      </c>
      <c r="F26" s="3">
        <f t="shared" si="5"/>
        <v>6.4823999999999993</v>
      </c>
      <c r="G26" s="3">
        <v>5.3425700000000003</v>
      </c>
      <c r="H26">
        <v>7</v>
      </c>
    </row>
    <row r="27" spans="1:12" x14ac:dyDescent="0.25">
      <c r="B27" t="s">
        <v>98</v>
      </c>
      <c r="D27" s="6">
        <v>0.17599999999999999</v>
      </c>
      <c r="E27" s="6">
        <f t="shared" si="4"/>
        <v>0.17099999999999999</v>
      </c>
      <c r="F27" s="3">
        <f t="shared" si="5"/>
        <v>3.7448999999999995</v>
      </c>
    </row>
    <row r="28" spans="1:12" x14ac:dyDescent="0.25">
      <c r="B28" t="s">
        <v>75</v>
      </c>
      <c r="D28" s="6">
        <v>0.14199999999999999</v>
      </c>
      <c r="E28" s="6">
        <f t="shared" si="4"/>
        <v>0.13699999999999998</v>
      </c>
      <c r="F28" s="3">
        <f t="shared" si="5"/>
        <v>3.0002999999999993</v>
      </c>
    </row>
  </sheetData>
  <sortState ref="K12:L21">
    <sortCondition ref="L12:L2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SRF2</vt:lpstr>
      <vt:lpstr>SRF1</vt:lpstr>
      <vt:lpstr>sea weeds</vt:lpstr>
      <vt:lpstr>animals</vt:lpstr>
      <vt:lpstr>chloro a</vt:lpstr>
      <vt:lpstr>DRP</vt:lpstr>
      <vt:lpstr>NO2 &amp; NO3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andrewi</dc:creator>
  <cp:lastModifiedBy>Mathew Anderson</cp:lastModifiedBy>
  <cp:lastPrinted>2017-11-22T20:03:21Z</cp:lastPrinted>
  <dcterms:created xsi:type="dcterms:W3CDTF">2016-08-04T02:05:16Z</dcterms:created>
  <dcterms:modified xsi:type="dcterms:W3CDTF">2017-12-20T02:24:14Z</dcterms:modified>
</cp:coreProperties>
</file>